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360" windowHeight="9135" tabRatio="675" activeTab="0"/>
  </bookViews>
  <sheets>
    <sheet name="ΑΠΟΔΟΧΕΣ(ΠΑΛΙΟΙ ΑΣΦΑΛΙΣΜΕΝΟΙ)" sheetId="1" r:id="rId1"/>
    <sheet name="ΑΠΟΔΟΧΕΣ (ΝΕΟΙ ΑΣΦΑΛΙΣΜΕΝΟΙ)" sheetId="2" r:id="rId2"/>
  </sheets>
  <definedNames>
    <definedName name="_xlnm.Print_Area" localSheetId="1">'ΑΠΟΔΟΧΕΣ (ΝΕΟΙ ΑΣΦΑΛΙΣΜΕΝΟΙ)'!$A$1:$R$25</definedName>
    <definedName name="_xlnm.Print_Area" localSheetId="0">'ΑΠΟΔΟΧΕΣ(ΠΑΛΙΟΙ ΑΣΦΑΛΙΣΜΕΝΟΙ)'!$A$1:$R$25</definedName>
  </definedNames>
  <calcPr fullCalcOnLoad="1"/>
</workbook>
</file>

<file path=xl/comments1.xml><?xml version="1.0" encoding="utf-8"?>
<comments xmlns="http://schemas.openxmlformats.org/spreadsheetml/2006/main">
  <authors>
    <author>Σακελλάρης Αλ.</author>
  </authors>
  <commentList>
    <comment ref="V25" authorId="0">
      <text>
        <r>
          <rPr>
            <sz val="12"/>
            <rFont val="Tahoma"/>
            <family val="2"/>
          </rPr>
          <t>ΑΡΙΘΜΟΣ ΠΑΙΔΙΩΝ ΓΙΑ ΜΕΙΩΣΗ ΦΟΡΟΥ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Σακελλάρης Αλ.</author>
  </authors>
  <commentList>
    <comment ref="V25" authorId="0">
      <text>
        <r>
          <rPr>
            <sz val="12"/>
            <rFont val="Tahoma"/>
            <family val="2"/>
          </rPr>
          <t>ΑΡΙΘΜΟΣ ΠΑΙΔΙΩΝ ΓΙΑ ΜΕΙΩΣΗ ΦΟΡΟΥ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<sst xmlns="http://schemas.openxmlformats.org/spreadsheetml/2006/main" count="152" uniqueCount="50">
  <si>
    <t>Β. Μ</t>
  </si>
  <si>
    <t>ΜΤΠΥ</t>
  </si>
  <si>
    <t>ΤΠΔΥ</t>
  </si>
  <si>
    <t>Φόρος</t>
  </si>
  <si>
    <t>ΜΚ</t>
  </si>
  <si>
    <t>ΤΕΑΔΥ</t>
  </si>
  <si>
    <t>Κιν.Απ.</t>
  </si>
  <si>
    <t>Οικογ.</t>
  </si>
  <si>
    <t>Σύνολο</t>
  </si>
  <si>
    <t>Υγ.Πε.</t>
  </si>
  <si>
    <t>Συν-ΚΑ</t>
  </si>
  <si>
    <t>Συν.Κρ.</t>
  </si>
  <si>
    <t>Καθαρές</t>
  </si>
  <si>
    <t>Σύζυγος</t>
  </si>
  <si>
    <t>Παιδιά</t>
  </si>
  <si>
    <t>ΕΤΗΣΙΕΣ ΑΠΟΔΟΧΕΣ</t>
  </si>
  <si>
    <t>ΑΡΙΘΜΟΣ ΠΑΙΔΙΩΝ ΓΙΑ ΜΕΙΩΣΗ ΦΟΡΟΥ</t>
  </si>
  <si>
    <t>ΑΦΟΡΟΛΟΓΗΤΟ ΠΟΣΟ</t>
  </si>
  <si>
    <t>ΦΟΡΟΣ 1ου ΚΛΙΜΑΚΙΟΥ               (ΕΩΣ 13400 €)</t>
  </si>
  <si>
    <t>ΦΟΡΟΣ 2ου ΚΛΙΜΑΚΙΟΥ           (ΕΩΣ 23400€)</t>
  </si>
  <si>
    <t>ΦΟΡΟΣ 3ου ΚΛΙΜΑΚΙΟΥ            (ΠΑΝΩ ΑΠΟ 23400€)</t>
  </si>
  <si>
    <t>ΕΤΗΣΙΟΣ ΦΟΡΟΣ</t>
  </si>
  <si>
    <t>ΦΟΡΟΣ ΑΝΑ ΜΗΝΑ</t>
  </si>
  <si>
    <t>Παιδιά για μείωση φόρου</t>
  </si>
  <si>
    <t>ΠΑΙΔΙΑ</t>
  </si>
  <si>
    <t>ΔΙΔΑΚΤΟΡΙΚΟ</t>
  </si>
  <si>
    <t>ΜΕΤΑΠΤΥΧΙΑΚΟ</t>
  </si>
  <si>
    <t>Δ/ΝΤΗΣ</t>
  </si>
  <si>
    <t>ΛΥΚΕΙΟΥ-ΤΕΕ</t>
  </si>
  <si>
    <t>ΓΥΜΝΑΣΙΟΥ-ΤΕΣ</t>
  </si>
  <si>
    <t>ΣΠΟΥΔΕΣ</t>
  </si>
  <si>
    <t>ΣΥΖΥΓΟΣ</t>
  </si>
  <si>
    <t>Σπουδών</t>
  </si>
  <si>
    <t>Διδακτορικό</t>
  </si>
  <si>
    <t>Μεταπτυχιακό</t>
  </si>
  <si>
    <t>Επ.Εξωδ.</t>
  </si>
  <si>
    <t>Κυρ.Συν</t>
  </si>
  <si>
    <t>Προϊστάμενος Γρ.</t>
  </si>
  <si>
    <t>Β/ΘΜΙΑΣ</t>
  </si>
  <si>
    <t>ΠΡΟΪΣΤΑΜΕΝΟΣ ΓΡ.</t>
  </si>
  <si>
    <t>ΜΗΝΙΑΙΕΣ ΑΠΟΔΟΧΕΣ</t>
  </si>
  <si>
    <t>ΑΠΟΔΟΧΕΣ ΔΩΡΟΥ</t>
  </si>
  <si>
    <t>Δ/ντής Β/θμιας</t>
  </si>
  <si>
    <t>Δ/ντής Γυμ-ΤΕΣ</t>
  </si>
  <si>
    <t>Δ/ντής Λυκ-ΤΕΕ</t>
  </si>
  <si>
    <t>Θέσης</t>
  </si>
  <si>
    <t>ΠΕ</t>
  </si>
  <si>
    <t>ΥΕ</t>
  </si>
  <si>
    <t xml:space="preserve">Δ.Δ.Ε. ΦΘΙΩΤΙΔΑΣ </t>
  </si>
  <si>
    <t>http://dide.fth.sch.gr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</si>
</sst>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_Δ_ρ_χ_-;\-* #,##0_Δ_ρ_χ_-;_-* &quot;-&quot;_Δ_ρ_χ_-;_-@_-"/>
    <numFmt numFmtId="173" formatCode="_-* #,##0.00_Δ_ρ_χ_-;\-* #,##0.00_Δ_ρ_χ_-;_-* &quot;-&quot;??_Δ_ρ_χ_-;_-@_-"/>
  </numFmts>
  <fonts count="19">
    <font>
      <sz val="10"/>
      <name val="Arial"/>
      <family val="0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Verdana"/>
      <family val="2"/>
    </font>
    <font>
      <sz val="12"/>
      <name val="Tahoma"/>
      <family val="2"/>
    </font>
    <font>
      <sz val="8"/>
      <name val="Tahoma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6"/>
      <color indexed="10"/>
      <name val="Verdana"/>
      <family val="2"/>
    </font>
    <font>
      <sz val="16"/>
      <color indexed="10"/>
      <name val="Arial"/>
      <family val="0"/>
    </font>
    <font>
      <b/>
      <sz val="8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16" applyFont="1" applyBorder="1" applyAlignment="1">
      <alignment horizontal="center"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16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0" xfId="1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4" fillId="0" borderId="0" xfId="16" applyNumberFormat="1" applyFont="1" applyBorder="1">
      <alignment/>
      <protection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/>
      <protection hidden="1" locked="0"/>
    </xf>
    <xf numFmtId="2" fontId="4" fillId="0" borderId="1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 applyProtection="1">
      <alignment/>
      <protection hidden="1"/>
    </xf>
    <xf numFmtId="0" fontId="4" fillId="0" borderId="1" xfId="16" applyFont="1" applyBorder="1" applyAlignment="1" applyProtection="1">
      <alignment horizontal="center"/>
      <protection hidden="1"/>
    </xf>
    <xf numFmtId="0" fontId="4" fillId="0" borderId="1" xfId="16" applyFont="1" applyBorder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2" fontId="4" fillId="0" borderId="1" xfId="16" applyNumberFormat="1" applyFont="1" applyBorder="1" applyProtection="1">
      <alignment/>
      <protection hidden="1"/>
    </xf>
    <xf numFmtId="2" fontId="4" fillId="0" borderId="1" xfId="16" applyNumberFormat="1" applyFont="1" applyBorder="1" applyAlignment="1" applyProtection="1">
      <alignment horizontal="center"/>
      <protection hidden="1"/>
    </xf>
    <xf numFmtId="2" fontId="4" fillId="0" borderId="0" xfId="16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/>
      <protection hidden="1"/>
    </xf>
    <xf numFmtId="2" fontId="7" fillId="0" borderId="1" xfId="0" applyNumberFormat="1" applyFont="1" applyBorder="1" applyAlignment="1" applyProtection="1">
      <alignment/>
      <protection hidden="1"/>
    </xf>
    <xf numFmtId="1" fontId="4" fillId="0" borderId="3" xfId="0" applyNumberFormat="1" applyFont="1" applyBorder="1" applyAlignment="1" applyProtection="1">
      <alignment/>
      <protection hidden="1"/>
    </xf>
    <xf numFmtId="2" fontId="4" fillId="0" borderId="2" xfId="0" applyNumberFormat="1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4" borderId="1" xfId="16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hidden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 applyProtection="1">
      <alignment/>
      <protection hidden="1"/>
    </xf>
    <xf numFmtId="2" fontId="4" fillId="0" borderId="1" xfId="0" applyNumberFormat="1" applyFont="1" applyBorder="1" applyAlignment="1">
      <alignment/>
    </xf>
    <xf numFmtId="2" fontId="4" fillId="0" borderId="0" xfId="16" applyNumberFormat="1" applyFont="1" applyBorder="1" applyProtection="1">
      <alignment/>
      <protection hidden="1"/>
    </xf>
    <xf numFmtId="0" fontId="4" fillId="0" borderId="0" xfId="16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 hidden="1"/>
    </xf>
    <xf numFmtId="2" fontId="13" fillId="3" borderId="1" xfId="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1" xfId="16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3" fillId="0" borderId="0" xfId="17" applyAlignment="1">
      <alignment horizontal="left"/>
    </xf>
    <xf numFmtId="0" fontId="3" fillId="0" borderId="0" xfId="17" applyAlignment="1" applyProtection="1">
      <alignment horizontal="left"/>
      <protection locked="0"/>
    </xf>
  </cellXfs>
  <cellStyles count="11">
    <cellStyle name="Normal" xfId="0"/>
    <cellStyle name="Followed Hyperlink" xfId="15"/>
    <cellStyle name="Βασικό_9-2003" xfId="16"/>
    <cellStyle name="Hyperlink" xfId="17"/>
    <cellStyle name="Comma" xfId="18"/>
    <cellStyle name="Comma [0]" xfId="19"/>
    <cellStyle name="Κόμμα [0]_18_ANAPL" xfId="20"/>
    <cellStyle name="Κόμμα_18_ANAPL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42</xdr:col>
      <xdr:colOff>0</xdr:colOff>
      <xdr:row>24</xdr:row>
      <xdr:rowOff>523875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2428875"/>
          <a:ext cx="82296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Ο ΠΙΝΑΚΑΣ ΑΦΟΡΑ ΚΑΘΗΓΗΤΕΣ ΠΕ, ΑΣΦΑΛΙΣΜΕΝΟΥΣ </a:t>
          </a:r>
          <a:r>
            <a:rPr lang="en-US" cap="none" sz="12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ΠΡΙΝ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 ΤΗΝ 1-1-93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ΤΑ ΠΕΔΙΑ ΠΟΥ ΠΡΕΠΕΙ ΝΑ ΣΥΜΠΛΗΡΩΘΟΥΝ ΕΙΝΑΙ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ΜΟΝΟ ΤΑ ΧΡΩΜΑΤΙΣΜΕΝΑ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ΟΠΩΣΔΗΠΟΤΕ το Μ.Κ.
Στο πεδίο σύζυγος : Αν είστε έγγαμος-η γράψτε 1 , διαφορετικά 0
Στο πεδίο παιδιά : Αν έχετε παιδιά για τα οποία δικαιούστε οικογενειακή παροχή γράψτε τον αριθμό των παιδιών  
Στο πεδίο διδακτορικό :Αν έχετε διδακτορικό γράψτε 1, διαφορετικά 0
Στο πεδίο μεταπτυχιακό : Αν έχετε μεταπτυχιακό γράψτε 1, διαφορετικά 0
Αν είστε Δ/ντής Β/θμιας, Προϊστάμενος Γραφείου, Δ/ντής σε Γυμνάσιο-ΤΕΣ ή σε Λύκειο-ΤΕΕ συμπληρώνεται 1 στο αντίστοιχο πεδίο, διαφορετικά 0
Στο πεδίο παιδιά για μείωση φόρου : Γράψτε μόνο τον αριθμό των παιδιών για τα οποία δικαιούστε μείωση φόρου (οι γυναίκες με σύζυγο μισθωτό δεν δικαιούνται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και αυτές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την μείωση)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23</xdr:col>
      <xdr:colOff>590550</xdr:colOff>
      <xdr:row>24</xdr:row>
      <xdr:rowOff>561975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2447925"/>
          <a:ext cx="820102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Ο ΠΙΝΑΚΑΣ ΑΦΟΡΑ ΚΑΘΗΓΗΤΕΣ ΠΕ, ΑΣΦΑΛΙΣΜΕΝΟΥΣ </a:t>
          </a:r>
          <a:r>
            <a:rPr lang="en-US" cap="none" sz="12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ΜΕΤΑ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 ΤΗΝ 1-1-93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ΤΑ ΠΕΔΙΑ ΠΟΥ ΠΡΕΠΕΙ ΝΑ ΣΥΜΠΛΗΡΩΘΟΥΝ ΕΙΝΑΙ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ΜΟΝΟ ΤΑ ΧΡΩΜΑΤΙΣΜΕΝΑ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ΟΠΩΣΔΗΠΟΤΕ το Μ.Κ.
Στο πεδίο σύζυγος : Αν είστε έγγαμος-η γράψτε 1 , διαφορετικά 0
Στο πεδίο παιδιά : Αν έχετε παιδιά για τα οποία δικαιούστε οικογενειακή παροχή γράψτε τον αριθμό των παιδιών  
Στο πεδίο διδακτορικό :Αν έχετε διδακτορικό γράψτε 1, διαφορετικά 0
Στο πεδίο μεταπτυχιακό : Αν έχετε μεταπτυχιακό γράψτε 1, διαφορετικά 0
Αν είστε Δ/ντής Β/θμιας, Προϊστάμενος Γραφείου, Δ/ντής σε Γυμνάσιο-ΤΕΣ ή σε Λύκειο-ΤΕΕ συμπληρώνεται 1 στο αντίστοιχο πεδίο, διαφορετικά 0
Στο πεδίο παιδιά για μείωση φόρου : Γράψτε μόνο τον αριθμό των παιδιών για τα οποία δικαιούστε μείωση φόρου (οι γυναίκες με σύζυγο μισθωτό δεν δικαιούνται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και αυτές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την μείωση)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de.fth.sch.gr/" TargetMode="External" /><Relationship Id="rId2" Type="http://schemas.openxmlformats.org/officeDocument/2006/relationships/hyperlink" Target="http://dide.fth.sch.g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de.fth.sch.gr/" TargetMode="External" /><Relationship Id="rId2" Type="http://schemas.openxmlformats.org/officeDocument/2006/relationships/hyperlink" Target="http://dide.fth.sch.gr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7109375" style="0" bestFit="1" customWidth="1"/>
    <col min="2" max="2" width="7.8515625" style="0" customWidth="1"/>
    <col min="3" max="8" width="7.28125" style="0" customWidth="1"/>
    <col min="9" max="9" width="7.28125" style="0" hidden="1" customWidth="1"/>
    <col min="10" max="15" width="7.28125" style="0" customWidth="1"/>
    <col min="16" max="16" width="7.57421875" style="0" customWidth="1"/>
    <col min="17" max="17" width="7.28125" style="0" customWidth="1"/>
    <col min="18" max="18" width="9.57421875" style="0" customWidth="1"/>
    <col min="19" max="19" width="6.7109375" style="0" hidden="1" customWidth="1"/>
    <col min="20" max="20" width="10.140625" style="0" hidden="1" customWidth="1"/>
    <col min="21" max="42" width="9.140625" style="0" hidden="1" customWidth="1"/>
  </cols>
  <sheetData>
    <row r="1" spans="1:18" ht="12.75">
      <c r="A1" s="65" t="s">
        <v>48</v>
      </c>
      <c r="B1" s="66"/>
      <c r="C1" s="66"/>
      <c r="D1" s="66"/>
      <c r="E1" s="67" t="s">
        <v>49</v>
      </c>
      <c r="F1" s="67"/>
      <c r="G1" s="67"/>
      <c r="H1" s="67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4" ht="12.75">
      <c r="A2" s="63" t="s">
        <v>13</v>
      </c>
      <c r="B2" s="63"/>
      <c r="C2" s="47"/>
      <c r="E2" s="64" t="s">
        <v>42</v>
      </c>
      <c r="F2" s="64"/>
      <c r="G2" s="48"/>
      <c r="J2" s="63" t="s">
        <v>23</v>
      </c>
      <c r="K2" s="63"/>
      <c r="L2" s="63"/>
      <c r="M2" s="47"/>
      <c r="N2" s="20"/>
    </row>
    <row r="3" spans="1:14" ht="12.75">
      <c r="A3" s="63" t="s">
        <v>14</v>
      </c>
      <c r="B3" s="63"/>
      <c r="C3" s="47"/>
      <c r="D3" s="2"/>
      <c r="E3" s="64" t="s">
        <v>37</v>
      </c>
      <c r="F3" s="64"/>
      <c r="G3" s="48"/>
      <c r="J3" s="2"/>
      <c r="K3" s="14"/>
      <c r="M3" s="14"/>
      <c r="N3" s="20"/>
    </row>
    <row r="4" spans="1:14" ht="12.75">
      <c r="A4" s="63" t="s">
        <v>33</v>
      </c>
      <c r="B4" s="63"/>
      <c r="C4" s="47"/>
      <c r="D4" s="2"/>
      <c r="E4" s="63" t="s">
        <v>43</v>
      </c>
      <c r="F4" s="63"/>
      <c r="G4" s="48"/>
      <c r="J4" s="2"/>
      <c r="K4" s="14"/>
      <c r="M4" s="14"/>
      <c r="N4" s="20"/>
    </row>
    <row r="5" spans="1:14" ht="12.75">
      <c r="A5" s="63" t="s">
        <v>34</v>
      </c>
      <c r="B5" s="63"/>
      <c r="C5" s="47"/>
      <c r="D5" s="2"/>
      <c r="E5" s="63" t="s">
        <v>44</v>
      </c>
      <c r="F5" s="63"/>
      <c r="G5" s="48"/>
      <c r="J5" s="2"/>
      <c r="K5" s="14"/>
      <c r="M5" s="14"/>
      <c r="N5" s="20"/>
    </row>
    <row r="6" spans="1:14" ht="12.75">
      <c r="A6" s="49"/>
      <c r="B6" s="49"/>
      <c r="C6" s="50"/>
      <c r="D6" s="51"/>
      <c r="E6" s="49"/>
      <c r="F6" s="49"/>
      <c r="G6" s="52"/>
      <c r="J6" s="2"/>
      <c r="K6" s="14"/>
      <c r="M6" s="14"/>
      <c r="N6" s="20"/>
    </row>
    <row r="7" spans="1:18" ht="19.5">
      <c r="A7" s="61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3" ht="12.75">
      <c r="A8" s="1" t="s">
        <v>4</v>
      </c>
      <c r="B8" s="22" t="s">
        <v>0</v>
      </c>
      <c r="C8" s="23" t="s">
        <v>35</v>
      </c>
      <c r="D8" s="22" t="s">
        <v>6</v>
      </c>
      <c r="E8" s="24" t="s">
        <v>7</v>
      </c>
      <c r="F8" s="24" t="s">
        <v>32</v>
      </c>
      <c r="G8" s="24" t="s">
        <v>45</v>
      </c>
      <c r="H8" s="24" t="s">
        <v>8</v>
      </c>
      <c r="I8" s="25" t="s">
        <v>10</v>
      </c>
      <c r="J8" s="22" t="s">
        <v>9</v>
      </c>
      <c r="K8" s="22" t="s">
        <v>1</v>
      </c>
      <c r="L8" s="26" t="s">
        <v>2</v>
      </c>
      <c r="M8" s="26" t="s">
        <v>5</v>
      </c>
      <c r="N8" s="26" t="s">
        <v>36</v>
      </c>
      <c r="O8" s="26" t="s">
        <v>11</v>
      </c>
      <c r="P8" s="26" t="s">
        <v>12</v>
      </c>
      <c r="Q8" s="26" t="s">
        <v>3</v>
      </c>
      <c r="R8" s="55" t="s">
        <v>12</v>
      </c>
      <c r="S8" s="8"/>
      <c r="T8" s="13"/>
      <c r="U8" s="13"/>
      <c r="V8" s="9"/>
      <c r="W8" s="9"/>
    </row>
    <row r="9" spans="1:23" ht="12.75">
      <c r="A9" s="40">
        <v>18</v>
      </c>
      <c r="B9" s="19">
        <f>VLOOKUP(A9,'ΑΠΟΔΟΧΕΣ(ΠΑΛΙΟΙ ΑΣΦΑΛΙΣΜΕΝΟΙ)'!$S$30:$T$47,2,2)</f>
        <v>808</v>
      </c>
      <c r="C9" s="27">
        <v>302</v>
      </c>
      <c r="D9" s="28">
        <v>150</v>
      </c>
      <c r="E9" s="28">
        <f>VLOOKUP(C2,'ΑΠΟΔΟΧΕΣ(ΠΑΛΙΟΙ ΑΣΦΑΛΙΣΜΕΝΟΙ)'!$U$30:$V$31,2,1)+VLOOKUP(C3,'ΑΠΟΔΟΧΕΣ(ΠΑΛΙΟΙ ΑΣΦΑΛΙΣΜΕΝΟΙ)'!W30:X41,2,1)</f>
        <v>0</v>
      </c>
      <c r="F9" s="28">
        <f>IF(C4=1,'ΑΠΟΔΟΧΕΣ(ΠΑΛΙΟΙ ΑΣΦΑΛΙΣΜΕΝΟΙ)'!Z30,IF(C5=1,'ΑΠΟΔΟΧΕΣ(ΠΑΛΙΟΙ ΑΣΦΑΛΙΣΜΕΝΟΙ)'!Z31,0))</f>
        <v>0</v>
      </c>
      <c r="G9" s="28">
        <f>IF(G4=1,'ΑΠΟΔΟΧΕΣ(ΠΑΛΙΟΙ ΑΣΦΑΛΙΣΜΕΝΟΙ)'!AB32,IF(G5=1,'ΑΠΟΔΟΧΕΣ(ΠΑΛΙΟΙ ΑΣΦΑΛΙΣΜΕΝΟΙ)'!AB33,IF(G2=1,'ΑΠΟΔΟΧΕΣ(ΠΑΛΙΟΙ ΑΣΦΑΛΙΣΜΕΝΟΙ)'!AB30,IF('ΑΠΟΔΟΧΕΣ(ΠΑΛΙΟΙ ΑΣΦΑΛΙΣΜΕΝΟΙ)'!G3=1,'ΑΠΟΔΟΧΕΣ(ΠΑΛΙΟΙ ΑΣΦΑΛΙΣΜΕΝΟΙ)'!AB31,0))))</f>
        <v>0</v>
      </c>
      <c r="H9" s="28">
        <f>SUM(B9:G9)</f>
        <v>1260</v>
      </c>
      <c r="I9" s="29">
        <f>H9-D9</f>
        <v>1110</v>
      </c>
      <c r="J9" s="28">
        <f>ROUND(I9*0.0255,2)</f>
        <v>28.31</v>
      </c>
      <c r="K9" s="28">
        <f>ROUND((B9)*0.04+(D9+C9+E9+F9+G9)*0.01,2)</f>
        <v>36.84</v>
      </c>
      <c r="L9" s="28">
        <f>ROUND(B9*0.04,2)</f>
        <v>32.32</v>
      </c>
      <c r="M9" s="28">
        <f>ROUND(B9*0.03+SUM(C9,E9:G9)*2%,2)</f>
        <v>30.28</v>
      </c>
      <c r="N9" s="28">
        <f>ROUND((B9)*0.0667,2)</f>
        <v>53.89</v>
      </c>
      <c r="O9" s="28">
        <f>SUM(J9:N9)</f>
        <v>181.64</v>
      </c>
      <c r="P9" s="28">
        <f>H9-O9</f>
        <v>1078.3600000000001</v>
      </c>
      <c r="Q9" s="19">
        <f>'ΑΠΟΔΟΧΕΣ(ΠΑΛΙΟΙ ΑΣΦΑΛΙΣΜΕΝΟΙ)'!AF26</f>
        <v>56.07</v>
      </c>
      <c r="R9" s="56">
        <f>P9-Q9</f>
        <v>1022.2900000000001</v>
      </c>
      <c r="S9" s="3"/>
      <c r="T9" s="12"/>
      <c r="U9" s="12"/>
      <c r="V9" s="9"/>
      <c r="W9" s="9"/>
    </row>
    <row r="10" spans="1:23" ht="12.75">
      <c r="A10" s="46"/>
      <c r="B10" s="21"/>
      <c r="C10" s="4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3"/>
      <c r="T10" s="12"/>
      <c r="U10" s="12"/>
      <c r="V10" s="9"/>
      <c r="W10" s="9"/>
    </row>
    <row r="11" spans="1:23" ht="19.5">
      <c r="A11" s="61" t="s">
        <v>41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3"/>
      <c r="T11" s="12"/>
      <c r="U11" s="12"/>
      <c r="V11" s="9"/>
      <c r="W11" s="9"/>
    </row>
    <row r="12" spans="1:23" ht="12.75">
      <c r="A12" s="1" t="s">
        <v>4</v>
      </c>
      <c r="B12" s="22" t="s">
        <v>0</v>
      </c>
      <c r="C12" s="23" t="s">
        <v>35</v>
      </c>
      <c r="D12" s="22" t="s">
        <v>6</v>
      </c>
      <c r="E12" s="24" t="s">
        <v>7</v>
      </c>
      <c r="F12" s="24" t="s">
        <v>32</v>
      </c>
      <c r="G12" s="24" t="s">
        <v>45</v>
      </c>
      <c r="H12" s="24" t="s">
        <v>8</v>
      </c>
      <c r="I12" s="25" t="s">
        <v>10</v>
      </c>
      <c r="J12" s="22" t="s">
        <v>9</v>
      </c>
      <c r="K12" s="22" t="s">
        <v>1</v>
      </c>
      <c r="L12" s="26" t="s">
        <v>2</v>
      </c>
      <c r="M12" s="26" t="s">
        <v>5</v>
      </c>
      <c r="N12" s="26" t="s">
        <v>36</v>
      </c>
      <c r="O12" s="26" t="s">
        <v>11</v>
      </c>
      <c r="P12" s="26" t="s">
        <v>12</v>
      </c>
      <c r="Q12" s="26" t="s">
        <v>3</v>
      </c>
      <c r="R12" s="55" t="s">
        <v>12</v>
      </c>
      <c r="S12" s="3"/>
      <c r="T12" s="12"/>
      <c r="U12" s="12"/>
      <c r="V12" s="9"/>
      <c r="W12" s="9"/>
    </row>
    <row r="13" spans="1:18" ht="12.75">
      <c r="A13" s="60">
        <f>A9</f>
        <v>18</v>
      </c>
      <c r="B13" s="19">
        <f>VLOOKUP(A13,'ΑΠΟΔΟΧΕΣ(ΠΑΛΙΟΙ ΑΣΦΑΛΙΣΜΕΝΟΙ)'!$S$30:$T$47,2,2)</f>
        <v>808</v>
      </c>
      <c r="C13" s="27"/>
      <c r="D13" s="28"/>
      <c r="E13" s="28"/>
      <c r="F13" s="28"/>
      <c r="G13" s="28"/>
      <c r="H13" s="28">
        <f>SUM(B13:G13)</f>
        <v>808</v>
      </c>
      <c r="I13" s="29">
        <f>H13-D13</f>
        <v>808</v>
      </c>
      <c r="J13" s="28"/>
      <c r="K13" s="28"/>
      <c r="L13" s="28">
        <f>ROUND(B13*0.04,2)</f>
        <v>32.32</v>
      </c>
      <c r="M13" s="28"/>
      <c r="N13" s="28">
        <f>ROUND((B13+D13)*0.0667,2)</f>
        <v>53.89</v>
      </c>
      <c r="O13" s="28">
        <f>SUM(J13:N13)</f>
        <v>86.21000000000001</v>
      </c>
      <c r="P13" s="28">
        <f>H13-O13</f>
        <v>721.79</v>
      </c>
      <c r="Q13" s="19">
        <f>Q9</f>
        <v>56.07</v>
      </c>
      <c r="R13" s="56">
        <f>P13-Q13</f>
        <v>665.7199999999999</v>
      </c>
    </row>
    <row r="14" spans="1:8" s="9" customFormat="1" ht="12.75">
      <c r="A14" s="6"/>
      <c r="B14" s="6"/>
      <c r="H14" s="7"/>
    </row>
    <row r="15" spans="1:8" s="9" customFormat="1" ht="12.75">
      <c r="A15" s="6"/>
      <c r="B15" s="10"/>
      <c r="H15" s="4"/>
    </row>
    <row r="16" spans="1:8" s="9" customFormat="1" ht="12.75">
      <c r="A16" s="6"/>
      <c r="B16" s="10"/>
      <c r="H16" s="4"/>
    </row>
    <row r="17" spans="1:8" s="9" customFormat="1" ht="12.75">
      <c r="A17" s="6"/>
      <c r="B17" s="10"/>
      <c r="H17" s="4"/>
    </row>
    <row r="18" spans="1:8" s="9" customFormat="1" ht="12.75">
      <c r="A18" s="6"/>
      <c r="B18" s="10"/>
      <c r="H18" s="4"/>
    </row>
    <row r="19" spans="1:8" s="9" customFormat="1" ht="12.75">
      <c r="A19" s="6"/>
      <c r="B19" s="10"/>
      <c r="H19" s="4"/>
    </row>
    <row r="20" spans="1:8" s="9" customFormat="1" ht="12.75">
      <c r="A20" s="6"/>
      <c r="B20" s="10"/>
      <c r="H20" s="4"/>
    </row>
    <row r="21" spans="1:8" s="9" customFormat="1" ht="12.75">
      <c r="A21" s="6"/>
      <c r="B21" s="10"/>
      <c r="H21" s="4"/>
    </row>
    <row r="22" spans="1:8" s="9" customFormat="1" ht="12.75">
      <c r="A22" s="6"/>
      <c r="B22" s="10"/>
      <c r="H22" s="4"/>
    </row>
    <row r="23" spans="1:8" s="9" customFormat="1" ht="12.75">
      <c r="A23" s="6"/>
      <c r="B23" s="10"/>
      <c r="H23" s="4"/>
    </row>
    <row r="24" spans="1:8" s="9" customFormat="1" ht="12.75">
      <c r="A24" s="6"/>
      <c r="B24" s="10"/>
      <c r="H24" s="4"/>
    </row>
    <row r="25" spans="1:32" s="9" customFormat="1" ht="52.5">
      <c r="A25" s="6"/>
      <c r="B25" s="10"/>
      <c r="H25" s="4"/>
      <c r="S25" s="1" t="s">
        <v>4</v>
      </c>
      <c r="T25" s="5" t="s">
        <v>8</v>
      </c>
      <c r="U25" s="15" t="s">
        <v>15</v>
      </c>
      <c r="V25" s="15" t="s">
        <v>16</v>
      </c>
      <c r="W25" s="15" t="s">
        <v>17</v>
      </c>
      <c r="X25" s="15" t="s">
        <v>18</v>
      </c>
      <c r="Y25" s="16" t="s">
        <v>19</v>
      </c>
      <c r="Z25" s="17" t="s">
        <v>19</v>
      </c>
      <c r="AA25" s="15" t="s">
        <v>19</v>
      </c>
      <c r="AB25" s="16" t="s">
        <v>20</v>
      </c>
      <c r="AC25" s="17" t="s">
        <v>20</v>
      </c>
      <c r="AD25" s="15" t="s">
        <v>20</v>
      </c>
      <c r="AE25" s="15" t="s">
        <v>21</v>
      </c>
      <c r="AF25" s="15" t="s">
        <v>22</v>
      </c>
    </row>
    <row r="26" spans="1:32" s="9" customFormat="1" ht="12.75" hidden="1">
      <c r="A26" s="6"/>
      <c r="B26" s="10"/>
      <c r="H26" s="4"/>
      <c r="S26" s="1">
        <f>'ΑΠΟΔΟΧΕΣ(ΠΑΛΙΟΙ ΑΣΦΑΛΙΣΜΕΝΟΙ)'!A9</f>
        <v>18</v>
      </c>
      <c r="T26" s="11">
        <f>12*'ΑΠΟΔΟΧΕΣ(ΠΑΛΙΟΙ ΑΣΦΑΛΙΣΜΕΝΟΙ)'!P9+2*'ΑΠΟΔΟΧΕΣ(ΠΑΛΙΟΙ ΑΣΦΑΛΙΣΜΕΝΟΙ)'!P13</f>
        <v>14383.900000000001</v>
      </c>
      <c r="U26" s="19">
        <f>T26</f>
        <v>14383.900000000001</v>
      </c>
      <c r="V26" s="18">
        <f>'ΑΠΟΔΟΧΕΣ(ΠΑΛΙΟΙ ΑΣΦΑΛΙΣΜΕΝΟΙ)'!M2</f>
        <v>0</v>
      </c>
      <c r="W26" s="19">
        <f>IF(S26=""," ",IF(V26&gt;=3,20000+(V26-3)*1000,V26*1000+10000))</f>
        <v>10000</v>
      </c>
      <c r="X26" s="19">
        <f>IF(S26=""," ",IF(U26&lt;=W26,0,IF(W26&gt;13400,0,IF(U26&lt;=13400,(U26-W26)*0.15,(13400-W26)*0.15))))</f>
        <v>510</v>
      </c>
      <c r="Y26" s="19">
        <f>IF(S26=""," ",IF(W26&gt;=20000,0,IF(U26&lt;13400,0,IF(U26&lt;23400,(U26-13400)*0.3,3000))))</f>
        <v>295.1700000000004</v>
      </c>
      <c r="Z26" s="19">
        <f>IF(W26&lt;20000,0,IF(W26&gt;23400,0,IF(U26&lt;=W26,0,IF(U26&lt;=23400,(U26-W26)*0.3,(23400-W26)*0.3))))</f>
        <v>0</v>
      </c>
      <c r="AA26" s="19">
        <f>IF(S26=""," ",SUM(Y26:Z26))</f>
        <v>295.1700000000004</v>
      </c>
      <c r="AB26" s="19">
        <f>IF(S26=""," ",IF(W26&gt;=23400,0,IF(U26&lt;=23400,0,(U26-23400)*0.4)))</f>
        <v>0</v>
      </c>
      <c r="AC26" s="19">
        <f>IF(S26=""," ",IF(W26&lt;=23400,0,IF(U26&lt;=W26,0,(U26-W26)*0.4)))</f>
        <v>0</v>
      </c>
      <c r="AD26" s="19">
        <f>IF(S26=""," ",SUM(AB26:AC26))</f>
        <v>0</v>
      </c>
      <c r="AE26" s="19">
        <f>IF(S26=""," ",SUM(X26+AA26+AD26))</f>
        <v>805.1700000000004</v>
      </c>
      <c r="AF26" s="19">
        <f>IF(S26=""," ",ROUND(AE26*0.975/14,2))</f>
        <v>56.07</v>
      </c>
    </row>
    <row r="27" spans="1:8" s="9" customFormat="1" ht="12.75" hidden="1">
      <c r="A27" s="6"/>
      <c r="B27" s="10"/>
      <c r="H27" s="4"/>
    </row>
    <row r="28" spans="1:8" s="9" customFormat="1" ht="12.75" hidden="1">
      <c r="A28" s="6"/>
      <c r="B28" s="10"/>
      <c r="H28" s="4"/>
    </row>
    <row r="29" spans="1:28" s="9" customFormat="1" ht="12.75" hidden="1">
      <c r="A29" s="6"/>
      <c r="B29" s="10"/>
      <c r="H29" s="4"/>
      <c r="R29" s="57" t="s">
        <v>47</v>
      </c>
      <c r="S29" s="24" t="s">
        <v>4</v>
      </c>
      <c r="T29" s="30" t="s">
        <v>46</v>
      </c>
      <c r="U29" s="24" t="s">
        <v>31</v>
      </c>
      <c r="V29" s="31"/>
      <c r="W29" s="24" t="s">
        <v>24</v>
      </c>
      <c r="X29" s="24"/>
      <c r="Y29" s="24" t="s">
        <v>30</v>
      </c>
      <c r="Z29" s="24"/>
      <c r="AA29" s="24" t="s">
        <v>27</v>
      </c>
      <c r="AB29" s="24"/>
    </row>
    <row r="30" spans="1:28" s="9" customFormat="1" ht="12.75" hidden="1">
      <c r="A30" s="6"/>
      <c r="B30" s="10"/>
      <c r="H30" s="4"/>
      <c r="R30" s="33">
        <f aca="true" t="shared" si="0" ref="R30:R45">R31+ROUND($R$47*0.0424,0)</f>
        <v>1015</v>
      </c>
      <c r="S30" s="32">
        <v>1</v>
      </c>
      <c r="T30" s="33">
        <f aca="true" t="shared" si="1" ref="T30:T46">ROUND(R30*1.37,0)</f>
        <v>1391</v>
      </c>
      <c r="U30" s="34">
        <v>0</v>
      </c>
      <c r="V30" s="35">
        <v>0</v>
      </c>
      <c r="W30" s="36">
        <v>0</v>
      </c>
      <c r="X30" s="19">
        <v>0</v>
      </c>
      <c r="Y30" s="36" t="s">
        <v>25</v>
      </c>
      <c r="Z30" s="19">
        <v>75</v>
      </c>
      <c r="AA30" s="42" t="s">
        <v>38</v>
      </c>
      <c r="AB30" s="44">
        <v>410</v>
      </c>
    </row>
    <row r="31" spans="1:28" s="9" customFormat="1" ht="12.75" hidden="1">
      <c r="A31" s="6"/>
      <c r="B31" s="10"/>
      <c r="H31" s="4"/>
      <c r="R31" s="33">
        <f t="shared" si="0"/>
        <v>990</v>
      </c>
      <c r="S31" s="32">
        <v>2</v>
      </c>
      <c r="T31" s="33">
        <f t="shared" si="1"/>
        <v>1356</v>
      </c>
      <c r="U31" s="34">
        <v>1</v>
      </c>
      <c r="V31" s="35">
        <v>35</v>
      </c>
      <c r="W31" s="36">
        <v>1</v>
      </c>
      <c r="X31" s="19">
        <v>18</v>
      </c>
      <c r="Y31" s="36" t="s">
        <v>26</v>
      </c>
      <c r="Z31" s="19">
        <v>45</v>
      </c>
      <c r="AA31" s="42" t="s">
        <v>39</v>
      </c>
      <c r="AB31" s="44">
        <v>370</v>
      </c>
    </row>
    <row r="32" spans="1:28" s="9" customFormat="1" ht="12.75" hidden="1">
      <c r="A32" s="6"/>
      <c r="B32" s="10"/>
      <c r="H32" s="4"/>
      <c r="R32" s="33">
        <f t="shared" si="0"/>
        <v>965</v>
      </c>
      <c r="S32" s="32">
        <v>3</v>
      </c>
      <c r="T32" s="33">
        <f t="shared" si="1"/>
        <v>1322</v>
      </c>
      <c r="U32" s="37"/>
      <c r="V32" s="37"/>
      <c r="W32" s="36">
        <v>2</v>
      </c>
      <c r="X32" s="19">
        <v>36</v>
      </c>
      <c r="Y32" s="38"/>
      <c r="Z32" s="38"/>
      <c r="AA32" s="41" t="s">
        <v>29</v>
      </c>
      <c r="AB32" s="43">
        <f>176+115</f>
        <v>291</v>
      </c>
    </row>
    <row r="33" spans="18:28" s="9" customFormat="1" ht="12.75" hidden="1">
      <c r="R33" s="33">
        <f t="shared" si="0"/>
        <v>940</v>
      </c>
      <c r="S33" s="32">
        <v>4</v>
      </c>
      <c r="T33" s="33">
        <f t="shared" si="1"/>
        <v>1288</v>
      </c>
      <c r="U33" s="37"/>
      <c r="V33" s="37"/>
      <c r="W33" s="36">
        <v>3</v>
      </c>
      <c r="X33" s="19">
        <v>71</v>
      </c>
      <c r="Y33" s="38"/>
      <c r="Z33" s="38"/>
      <c r="AA33" s="41" t="s">
        <v>28</v>
      </c>
      <c r="AB33" s="43">
        <f>235+130</f>
        <v>365</v>
      </c>
    </row>
    <row r="34" spans="18:28" s="9" customFormat="1" ht="12.75" hidden="1">
      <c r="R34" s="33">
        <f t="shared" si="0"/>
        <v>915</v>
      </c>
      <c r="S34" s="32">
        <v>5</v>
      </c>
      <c r="T34" s="33">
        <f t="shared" si="1"/>
        <v>1254</v>
      </c>
      <c r="U34" s="37"/>
      <c r="V34" s="37"/>
      <c r="W34" s="36">
        <v>4</v>
      </c>
      <c r="X34" s="19">
        <v>118</v>
      </c>
      <c r="Y34" s="38"/>
      <c r="Z34" s="38"/>
      <c r="AA34" s="38"/>
      <c r="AB34" s="38"/>
    </row>
    <row r="35" spans="18:28" s="9" customFormat="1" ht="12.75" hidden="1">
      <c r="R35" s="33">
        <f t="shared" si="0"/>
        <v>890</v>
      </c>
      <c r="S35" s="32">
        <v>6</v>
      </c>
      <c r="T35" s="33">
        <f t="shared" si="1"/>
        <v>1219</v>
      </c>
      <c r="U35" s="37"/>
      <c r="V35" s="37"/>
      <c r="W35" s="36">
        <v>5</v>
      </c>
      <c r="X35" s="19">
        <f aca="true" t="shared" si="2" ref="X35:X41">X34+73</f>
        <v>191</v>
      </c>
      <c r="Y35" s="38"/>
      <c r="Z35" s="38"/>
      <c r="AA35" s="38"/>
      <c r="AB35" s="38"/>
    </row>
    <row r="36" spans="18:28" s="9" customFormat="1" ht="12.75" hidden="1">
      <c r="R36" s="33">
        <f t="shared" si="0"/>
        <v>865</v>
      </c>
      <c r="S36" s="32">
        <v>7</v>
      </c>
      <c r="T36" s="33">
        <f t="shared" si="1"/>
        <v>1185</v>
      </c>
      <c r="U36" s="37"/>
      <c r="V36" s="37"/>
      <c r="W36" s="36">
        <v>6</v>
      </c>
      <c r="X36" s="19">
        <f t="shared" si="2"/>
        <v>264</v>
      </c>
      <c r="Y36" s="38"/>
      <c r="Z36" s="38"/>
      <c r="AA36" s="38"/>
      <c r="AB36" s="38"/>
    </row>
    <row r="37" spans="18:28" s="9" customFormat="1" ht="12.75" hidden="1">
      <c r="R37" s="33">
        <f t="shared" si="0"/>
        <v>840</v>
      </c>
      <c r="S37" s="32">
        <v>8</v>
      </c>
      <c r="T37" s="33">
        <f t="shared" si="1"/>
        <v>1151</v>
      </c>
      <c r="U37" s="37"/>
      <c r="V37" s="37"/>
      <c r="W37" s="36">
        <v>7</v>
      </c>
      <c r="X37" s="19">
        <f t="shared" si="2"/>
        <v>337</v>
      </c>
      <c r="Y37" s="38"/>
      <c r="Z37" s="38"/>
      <c r="AA37" s="38"/>
      <c r="AB37" s="38"/>
    </row>
    <row r="38" spans="18:28" s="9" customFormat="1" ht="12.75" hidden="1">
      <c r="R38" s="33">
        <f t="shared" si="0"/>
        <v>815</v>
      </c>
      <c r="S38" s="32">
        <v>9</v>
      </c>
      <c r="T38" s="33">
        <f t="shared" si="1"/>
        <v>1117</v>
      </c>
      <c r="U38" s="37"/>
      <c r="V38" s="37"/>
      <c r="W38" s="36">
        <v>8</v>
      </c>
      <c r="X38" s="19">
        <f t="shared" si="2"/>
        <v>410</v>
      </c>
      <c r="Y38" s="38"/>
      <c r="Z38" s="38"/>
      <c r="AA38" s="38"/>
      <c r="AB38" s="38"/>
    </row>
    <row r="39" spans="18:28" s="9" customFormat="1" ht="12.75" hidden="1">
      <c r="R39" s="33">
        <f t="shared" si="0"/>
        <v>790</v>
      </c>
      <c r="S39" s="32">
        <v>10</v>
      </c>
      <c r="T39" s="33">
        <f t="shared" si="1"/>
        <v>1082</v>
      </c>
      <c r="U39" s="37"/>
      <c r="V39" s="37"/>
      <c r="W39" s="36">
        <v>9</v>
      </c>
      <c r="X39" s="19">
        <f t="shared" si="2"/>
        <v>483</v>
      </c>
      <c r="Y39" s="38"/>
      <c r="Z39" s="38"/>
      <c r="AA39" s="38"/>
      <c r="AB39" s="38"/>
    </row>
    <row r="40" spans="18:28" s="9" customFormat="1" ht="12.75" hidden="1">
      <c r="R40" s="33">
        <f t="shared" si="0"/>
        <v>765</v>
      </c>
      <c r="S40" s="32">
        <v>11</v>
      </c>
      <c r="T40" s="33">
        <f t="shared" si="1"/>
        <v>1048</v>
      </c>
      <c r="U40" s="37"/>
      <c r="V40" s="37"/>
      <c r="W40" s="36">
        <v>10</v>
      </c>
      <c r="X40" s="19">
        <f t="shared" si="2"/>
        <v>556</v>
      </c>
      <c r="Y40" s="38"/>
      <c r="Z40" s="38"/>
      <c r="AA40" s="38"/>
      <c r="AB40" s="38"/>
    </row>
    <row r="41" spans="18:28" s="9" customFormat="1" ht="12.75" hidden="1">
      <c r="R41" s="33">
        <f t="shared" si="0"/>
        <v>740</v>
      </c>
      <c r="S41" s="32">
        <v>12</v>
      </c>
      <c r="T41" s="33">
        <f t="shared" si="1"/>
        <v>1014</v>
      </c>
      <c r="U41" s="37"/>
      <c r="V41" s="37"/>
      <c r="W41" s="36">
        <v>11</v>
      </c>
      <c r="X41" s="19">
        <f t="shared" si="2"/>
        <v>629</v>
      </c>
      <c r="Y41" s="38"/>
      <c r="Z41" s="38"/>
      <c r="AA41" s="38"/>
      <c r="AB41" s="38"/>
    </row>
    <row r="42" spans="18:28" s="9" customFormat="1" ht="12.75" hidden="1">
      <c r="R42" s="33">
        <f t="shared" si="0"/>
        <v>715</v>
      </c>
      <c r="S42" s="32">
        <v>13</v>
      </c>
      <c r="T42" s="33">
        <f t="shared" si="1"/>
        <v>980</v>
      </c>
      <c r="U42" s="37"/>
      <c r="V42" s="37"/>
      <c r="W42" s="39"/>
      <c r="X42" s="39"/>
      <c r="Y42" s="39"/>
      <c r="Z42" s="39"/>
      <c r="AA42" s="39"/>
      <c r="AB42" s="39"/>
    </row>
    <row r="43" spans="18:28" s="9" customFormat="1" ht="12.75" hidden="1">
      <c r="R43" s="33">
        <f t="shared" si="0"/>
        <v>690</v>
      </c>
      <c r="S43" s="32">
        <v>14</v>
      </c>
      <c r="T43" s="33">
        <f t="shared" si="1"/>
        <v>945</v>
      </c>
      <c r="U43" s="37"/>
      <c r="V43" s="37"/>
      <c r="W43" s="39"/>
      <c r="X43" s="39"/>
      <c r="Y43" s="39"/>
      <c r="Z43" s="39"/>
      <c r="AA43" s="39"/>
      <c r="AB43" s="39"/>
    </row>
    <row r="44" spans="18:28" s="9" customFormat="1" ht="12.75" hidden="1">
      <c r="R44" s="33">
        <f t="shared" si="0"/>
        <v>665</v>
      </c>
      <c r="S44" s="32">
        <v>15</v>
      </c>
      <c r="T44" s="33">
        <f t="shared" si="1"/>
        <v>911</v>
      </c>
      <c r="U44" s="37"/>
      <c r="V44" s="37"/>
      <c r="W44" s="39"/>
      <c r="X44" s="39"/>
      <c r="Y44" s="39"/>
      <c r="Z44" s="39"/>
      <c r="AA44" s="39"/>
      <c r="AB44" s="39"/>
    </row>
    <row r="45" spans="18:28" s="9" customFormat="1" ht="12.75" hidden="1">
      <c r="R45" s="33">
        <f t="shared" si="0"/>
        <v>640</v>
      </c>
      <c r="S45" s="32">
        <v>16</v>
      </c>
      <c r="T45" s="33">
        <f t="shared" si="1"/>
        <v>877</v>
      </c>
      <c r="U45" s="37"/>
      <c r="V45" s="37"/>
      <c r="W45" s="39"/>
      <c r="X45" s="39"/>
      <c r="Y45" s="39"/>
      <c r="Z45" s="39"/>
      <c r="AA45" s="39"/>
      <c r="AB45" s="39"/>
    </row>
    <row r="46" spans="18:28" s="9" customFormat="1" ht="12.75" hidden="1">
      <c r="R46" s="33">
        <f>R47+ROUND($R$47*0.0424,0)</f>
        <v>615</v>
      </c>
      <c r="S46" s="32">
        <v>17</v>
      </c>
      <c r="T46" s="33">
        <f t="shared" si="1"/>
        <v>843</v>
      </c>
      <c r="U46" s="37"/>
      <c r="V46" s="37"/>
      <c r="W46" s="39"/>
      <c r="X46" s="39"/>
      <c r="Y46" s="39"/>
      <c r="Z46" s="39"/>
      <c r="AA46" s="39"/>
      <c r="AB46" s="39"/>
    </row>
    <row r="47" spans="18:28" s="9" customFormat="1" ht="12.75" hidden="1">
      <c r="R47" s="58">
        <v>590</v>
      </c>
      <c r="S47" s="32">
        <v>18</v>
      </c>
      <c r="T47" s="33">
        <f>ROUND(R47*1.37,0)</f>
        <v>808</v>
      </c>
      <c r="U47" s="37"/>
      <c r="V47" s="37"/>
      <c r="W47" s="39"/>
      <c r="X47" s="39"/>
      <c r="Y47" s="39"/>
      <c r="Z47" s="39"/>
      <c r="AA47" s="39"/>
      <c r="AB47" s="39"/>
    </row>
    <row r="48" s="9" customFormat="1" ht="12.75" hidden="1"/>
    <row r="49" s="9" customFormat="1" ht="12.75" hidden="1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 selectLockedCells="1"/>
  <mergeCells count="13">
    <mergeCell ref="A7:R7"/>
    <mergeCell ref="A1:D1"/>
    <mergeCell ref="E1:H1"/>
    <mergeCell ref="A11:R11"/>
    <mergeCell ref="A2:B2"/>
    <mergeCell ref="A3:B3"/>
    <mergeCell ref="A4:B4"/>
    <mergeCell ref="A5:B5"/>
    <mergeCell ref="E3:F3"/>
    <mergeCell ref="E2:F2"/>
    <mergeCell ref="E4:F4"/>
    <mergeCell ref="E5:F5"/>
    <mergeCell ref="J2:L2"/>
  </mergeCells>
  <hyperlinks>
    <hyperlink ref="E1:H1" r:id="rId1" display="http://dide.fgh.sch.gr"/>
    <hyperlink ref="E1" r:id="rId2" display="http://dide.fth.sch.gr"/>
  </hyperlink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115" r:id="rId6"/>
  <headerFooter alignWithMargins="0">
    <oddHeader>&amp;CΔ/ΝΣΗ Β/ΘΜΙΑΣ ΕΚΠ/ΣΗΣ ΦΘΙΩΤΙΔΑΣ</oddHeader>
    <oddFooter>&amp;L&amp;A&amp;C&amp;D&amp;RΔ.Δ.Ε. ΦΘΙΩΤΙΔΑΣ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A1">
      <selection activeCell="M9" sqref="M9"/>
    </sheetView>
  </sheetViews>
  <sheetFormatPr defaultColWidth="9.140625" defaultRowHeight="12.75"/>
  <cols>
    <col min="1" max="1" width="3.57421875" style="0" bestFit="1" customWidth="1"/>
    <col min="2" max="2" width="7.8515625" style="0" customWidth="1"/>
    <col min="3" max="8" width="7.28125" style="0" customWidth="1"/>
    <col min="9" max="9" width="7.28125" style="0" hidden="1" customWidth="1"/>
    <col min="10" max="17" width="7.28125" style="0" customWidth="1"/>
    <col min="18" max="18" width="9.57421875" style="0" customWidth="1"/>
    <col min="19" max="19" width="6.7109375" style="0" hidden="1" customWidth="1"/>
    <col min="20" max="20" width="10.140625" style="0" hidden="1" customWidth="1"/>
    <col min="21" max="34" width="9.140625" style="0" hidden="1" customWidth="1"/>
  </cols>
  <sheetData>
    <row r="1" spans="1:8" ht="12.75">
      <c r="A1" s="65" t="s">
        <v>48</v>
      </c>
      <c r="B1" s="66"/>
      <c r="C1" s="66"/>
      <c r="D1" s="66"/>
      <c r="E1" s="68" t="s">
        <v>49</v>
      </c>
      <c r="F1" s="68"/>
      <c r="G1" s="68"/>
      <c r="H1" s="68"/>
    </row>
    <row r="2" spans="1:14" ht="12.75">
      <c r="A2" s="63" t="s">
        <v>13</v>
      </c>
      <c r="B2" s="63"/>
      <c r="C2" s="47"/>
      <c r="E2" s="64" t="s">
        <v>42</v>
      </c>
      <c r="F2" s="64"/>
      <c r="G2" s="48"/>
      <c r="J2" s="63" t="s">
        <v>23</v>
      </c>
      <c r="K2" s="63"/>
      <c r="L2" s="63"/>
      <c r="M2" s="47"/>
      <c r="N2" s="20"/>
    </row>
    <row r="3" spans="1:14" ht="12.75">
      <c r="A3" s="63" t="s">
        <v>14</v>
      </c>
      <c r="B3" s="63"/>
      <c r="C3" s="47"/>
      <c r="D3" s="2"/>
      <c r="E3" s="64" t="s">
        <v>37</v>
      </c>
      <c r="F3" s="64"/>
      <c r="G3" s="48"/>
      <c r="J3" s="2"/>
      <c r="K3" s="14"/>
      <c r="M3" s="14"/>
      <c r="N3" s="20"/>
    </row>
    <row r="4" spans="1:14" ht="12.75">
      <c r="A4" s="63" t="s">
        <v>33</v>
      </c>
      <c r="B4" s="63"/>
      <c r="C4" s="47"/>
      <c r="D4" s="2"/>
      <c r="E4" s="63" t="s">
        <v>43</v>
      </c>
      <c r="F4" s="63"/>
      <c r="G4" s="48"/>
      <c r="J4" s="2"/>
      <c r="K4" s="14"/>
      <c r="M4" s="14"/>
      <c r="N4" s="59"/>
    </row>
    <row r="5" spans="1:14" ht="12.75">
      <c r="A5" s="63" t="s">
        <v>34</v>
      </c>
      <c r="B5" s="63"/>
      <c r="C5" s="47"/>
      <c r="D5" s="2"/>
      <c r="E5" s="63" t="s">
        <v>44</v>
      </c>
      <c r="F5" s="63"/>
      <c r="G5" s="48"/>
      <c r="J5" s="2"/>
      <c r="K5" s="14"/>
      <c r="M5" s="14"/>
      <c r="N5" s="20"/>
    </row>
    <row r="6" spans="1:14" s="9" customFormat="1" ht="12.75">
      <c r="A6" s="53"/>
      <c r="B6" s="53"/>
      <c r="C6" s="50"/>
      <c r="D6" s="51"/>
      <c r="E6" s="49"/>
      <c r="F6" s="49"/>
      <c r="G6" s="52"/>
      <c r="J6" s="12"/>
      <c r="K6" s="7"/>
      <c r="M6" s="7"/>
      <c r="N6" s="54"/>
    </row>
    <row r="7" spans="1:18" ht="19.5">
      <c r="A7" s="61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3" ht="12.75">
      <c r="A8" s="1" t="s">
        <v>4</v>
      </c>
      <c r="B8" s="22" t="s">
        <v>0</v>
      </c>
      <c r="C8" s="23" t="s">
        <v>35</v>
      </c>
      <c r="D8" s="22" t="s">
        <v>6</v>
      </c>
      <c r="E8" s="24" t="s">
        <v>7</v>
      </c>
      <c r="F8" s="24" t="s">
        <v>32</v>
      </c>
      <c r="G8" s="24" t="s">
        <v>45</v>
      </c>
      <c r="H8" s="24" t="s">
        <v>8</v>
      </c>
      <c r="I8" s="25" t="s">
        <v>10</v>
      </c>
      <c r="J8" s="22" t="s">
        <v>9</v>
      </c>
      <c r="K8" s="22" t="s">
        <v>1</v>
      </c>
      <c r="L8" s="26" t="s">
        <v>2</v>
      </c>
      <c r="M8" s="26" t="s">
        <v>5</v>
      </c>
      <c r="N8" s="26" t="s">
        <v>36</v>
      </c>
      <c r="O8" s="26" t="s">
        <v>11</v>
      </c>
      <c r="P8" s="26" t="s">
        <v>12</v>
      </c>
      <c r="Q8" s="26" t="s">
        <v>3</v>
      </c>
      <c r="R8" s="55" t="s">
        <v>12</v>
      </c>
      <c r="S8" s="8"/>
      <c r="T8" s="13"/>
      <c r="U8" s="13"/>
      <c r="V8" s="9"/>
      <c r="W8" s="9"/>
    </row>
    <row r="9" spans="1:23" ht="12.75">
      <c r="A9" s="40">
        <v>18</v>
      </c>
      <c r="B9" s="19">
        <f>VLOOKUP(A9,'ΑΠΟΔΟΧΕΣ (ΝΕΟΙ ΑΣΦΑΛΙΣΜΕΝΟΙ)'!$S$30:$T$47,2,2)</f>
        <v>808</v>
      </c>
      <c r="C9" s="27">
        <v>302</v>
      </c>
      <c r="D9" s="28">
        <v>150</v>
      </c>
      <c r="E9" s="28">
        <f>VLOOKUP(C2,'ΑΠΟΔΟΧΕΣ (ΝΕΟΙ ΑΣΦΑΛΙΣΜΕΝΟΙ)'!$U$30:$V$31,2,1)+VLOOKUP(C3,'ΑΠΟΔΟΧΕΣ (ΝΕΟΙ ΑΣΦΑΛΙΣΜΕΝΟΙ)'!W30:X41,2,1)</f>
        <v>0</v>
      </c>
      <c r="F9" s="28">
        <f>IF(C4=1,'ΑΠΟΔΟΧΕΣ (ΝΕΟΙ ΑΣΦΑΛΙΣΜΕΝΟΙ)'!Z30,IF(C5=1,'ΑΠΟΔΟΧΕΣ (ΝΕΟΙ ΑΣΦΑΛΙΣΜΕΝΟΙ)'!Z31,0))</f>
        <v>0</v>
      </c>
      <c r="G9" s="28">
        <f>IF(G4=1,'ΑΠΟΔΟΧΕΣ (ΝΕΟΙ ΑΣΦΑΛΙΣΜΕΝΟΙ)'!AB32,IF(G5=1,'ΑΠΟΔΟΧΕΣ (ΝΕΟΙ ΑΣΦΑΛΙΣΜΕΝΟΙ)'!AB33,IF(G2=1,'ΑΠΟΔΟΧΕΣ (ΝΕΟΙ ΑΣΦΑΛΙΣΜΕΝΟΙ)'!AB30,IF('ΑΠΟΔΟΧΕΣ (ΝΕΟΙ ΑΣΦΑΛΙΣΜΕΝΟΙ)'!G3=1,'ΑΠΟΔΟΧΕΣ (ΝΕΟΙ ΑΣΦΑΛΙΣΜΕΝΟΙ)'!AB31,0))))</f>
        <v>0</v>
      </c>
      <c r="H9" s="28">
        <f>SUM(B9:G9)</f>
        <v>1260</v>
      </c>
      <c r="I9" s="29">
        <f>H9-D9</f>
        <v>1110</v>
      </c>
      <c r="J9" s="28">
        <f>ROUND(I9*0.0255,2)</f>
        <v>28.31</v>
      </c>
      <c r="K9" s="28">
        <f>ROUND((B9)*0.04+(D9+C9+E9+F9+G9)*0.01,2)</f>
        <v>36.84</v>
      </c>
      <c r="L9" s="28">
        <f>ROUND((B9+C9+E9+F9+G9)*0.04,2)</f>
        <v>44.4</v>
      </c>
      <c r="M9" s="28">
        <f>ROUND((B9+C9+E9+F9+G9)*0.03,2)</f>
        <v>33.3</v>
      </c>
      <c r="N9" s="28">
        <f>ROUND(I9*0.0667,2)</f>
        <v>74.04</v>
      </c>
      <c r="O9" s="28">
        <f>SUM(J9:N9)</f>
        <v>216.89000000000004</v>
      </c>
      <c r="P9" s="28">
        <f>H9-O9</f>
        <v>1043.11</v>
      </c>
      <c r="Q9" s="19">
        <f>'ΑΠΟΔΟΧΕΣ (ΝΕΟΙ ΑΣΦΑΛΙΣΜΕΝΟΙ)'!AF26</f>
        <v>46.22</v>
      </c>
      <c r="R9" s="56">
        <f>P9-Q9</f>
        <v>996.8899999999999</v>
      </c>
      <c r="S9" s="3"/>
      <c r="T9" s="12"/>
      <c r="U9" s="12"/>
      <c r="V9" s="9"/>
      <c r="W9" s="9"/>
    </row>
    <row r="10" spans="1:23" ht="12.75">
      <c r="A10" s="46"/>
      <c r="B10" s="21"/>
      <c r="C10" s="4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3"/>
      <c r="T10" s="12"/>
      <c r="U10" s="12"/>
      <c r="V10" s="9"/>
      <c r="W10" s="9"/>
    </row>
    <row r="11" spans="1:23" ht="19.5">
      <c r="A11" s="61" t="s">
        <v>41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3"/>
      <c r="T11" s="12"/>
      <c r="U11" s="12"/>
      <c r="V11" s="9"/>
      <c r="W11" s="9"/>
    </row>
    <row r="12" spans="1:23" ht="12.75">
      <c r="A12" s="1" t="s">
        <v>4</v>
      </c>
      <c r="B12" s="22" t="s">
        <v>0</v>
      </c>
      <c r="C12" s="23" t="s">
        <v>35</v>
      </c>
      <c r="D12" s="22" t="s">
        <v>6</v>
      </c>
      <c r="E12" s="24" t="s">
        <v>7</v>
      </c>
      <c r="F12" s="24" t="s">
        <v>32</v>
      </c>
      <c r="G12" s="24" t="s">
        <v>45</v>
      </c>
      <c r="H12" s="24" t="s">
        <v>8</v>
      </c>
      <c r="I12" s="25" t="s">
        <v>10</v>
      </c>
      <c r="J12" s="22" t="s">
        <v>9</v>
      </c>
      <c r="K12" s="22" t="s">
        <v>1</v>
      </c>
      <c r="L12" s="26" t="s">
        <v>2</v>
      </c>
      <c r="M12" s="26" t="s">
        <v>5</v>
      </c>
      <c r="N12" s="26" t="s">
        <v>36</v>
      </c>
      <c r="O12" s="26" t="s">
        <v>11</v>
      </c>
      <c r="P12" s="26" t="s">
        <v>12</v>
      </c>
      <c r="Q12" s="26" t="s">
        <v>3</v>
      </c>
      <c r="R12" s="55" t="s">
        <v>12</v>
      </c>
      <c r="S12" s="3"/>
      <c r="T12" s="12"/>
      <c r="U12" s="12"/>
      <c r="V12" s="9"/>
      <c r="W12" s="9"/>
    </row>
    <row r="13" spans="1:18" ht="12.75">
      <c r="A13" s="60">
        <f>A9</f>
        <v>18</v>
      </c>
      <c r="B13" s="19">
        <f>VLOOKUP(A13,'ΑΠΟΔΟΧΕΣ (ΝΕΟΙ ΑΣΦΑΛΙΣΜΕΝΟΙ)'!$S$30:$T$47,2,2)</f>
        <v>808</v>
      </c>
      <c r="C13" s="27"/>
      <c r="D13" s="28"/>
      <c r="E13" s="28"/>
      <c r="F13" s="28"/>
      <c r="G13" s="28"/>
      <c r="H13" s="28">
        <f>SUM(B13:G13)</f>
        <v>808</v>
      </c>
      <c r="I13" s="29">
        <f>H13-D13</f>
        <v>808</v>
      </c>
      <c r="J13" s="28"/>
      <c r="K13" s="28"/>
      <c r="L13" s="28">
        <f>ROUND((B13+C13+E13+F13+G13)*0.04,2)</f>
        <v>32.32</v>
      </c>
      <c r="M13" s="28">
        <f>ROUND((B13+C13+E13+F13+G13)*0.03,2)</f>
        <v>24.24</v>
      </c>
      <c r="N13" s="28">
        <f>ROUND(H13*0.0667,2)</f>
        <v>53.89</v>
      </c>
      <c r="O13" s="28">
        <f>SUM(J13:N13)</f>
        <v>110.45</v>
      </c>
      <c r="P13" s="28">
        <f>H13-O13</f>
        <v>697.55</v>
      </c>
      <c r="Q13" s="19">
        <f>Q9</f>
        <v>46.22</v>
      </c>
      <c r="R13" s="56">
        <f>P13-Q13</f>
        <v>651.3299999999999</v>
      </c>
    </row>
    <row r="14" spans="1:8" s="9" customFormat="1" ht="12.75">
      <c r="A14" s="6"/>
      <c r="B14" s="6"/>
      <c r="H14" s="7"/>
    </row>
    <row r="15" spans="1:8" s="9" customFormat="1" ht="12.75">
      <c r="A15" s="6"/>
      <c r="B15" s="10"/>
      <c r="H15" s="4"/>
    </row>
    <row r="16" spans="1:8" s="9" customFormat="1" ht="12.75">
      <c r="A16" s="6"/>
      <c r="B16" s="10"/>
      <c r="H16" s="4"/>
    </row>
    <row r="17" spans="1:8" s="9" customFormat="1" ht="12.75">
      <c r="A17" s="6"/>
      <c r="B17" s="10"/>
      <c r="H17" s="4"/>
    </row>
    <row r="18" spans="1:8" s="9" customFormat="1" ht="12.75">
      <c r="A18" s="6"/>
      <c r="B18" s="10"/>
      <c r="H18" s="4"/>
    </row>
    <row r="19" spans="1:8" s="9" customFormat="1" ht="12.75">
      <c r="A19" s="6"/>
      <c r="B19" s="10"/>
      <c r="H19" s="4"/>
    </row>
    <row r="20" spans="1:8" s="9" customFormat="1" ht="12.75">
      <c r="A20" s="6"/>
      <c r="B20" s="10"/>
      <c r="H20" s="4"/>
    </row>
    <row r="21" spans="1:8" s="9" customFormat="1" ht="12.75">
      <c r="A21" s="6"/>
      <c r="B21" s="10"/>
      <c r="H21" s="4"/>
    </row>
    <row r="22" spans="1:8" s="9" customFormat="1" ht="12.75">
      <c r="A22" s="6"/>
      <c r="B22" s="10"/>
      <c r="H22" s="4"/>
    </row>
    <row r="23" spans="1:8" s="9" customFormat="1" ht="12.75">
      <c r="A23" s="6"/>
      <c r="B23" s="10"/>
      <c r="H23" s="4"/>
    </row>
    <row r="24" spans="1:8" s="9" customFormat="1" ht="12.75">
      <c r="A24" s="6"/>
      <c r="B24" s="10"/>
      <c r="H24" s="4"/>
    </row>
    <row r="25" spans="1:32" s="9" customFormat="1" ht="52.5">
      <c r="A25" s="6"/>
      <c r="B25" s="10"/>
      <c r="H25" s="4"/>
      <c r="S25" s="1" t="s">
        <v>4</v>
      </c>
      <c r="T25" s="5" t="s">
        <v>8</v>
      </c>
      <c r="U25" s="15" t="s">
        <v>15</v>
      </c>
      <c r="V25" s="15" t="s">
        <v>16</v>
      </c>
      <c r="W25" s="15" t="s">
        <v>17</v>
      </c>
      <c r="X25" s="15" t="s">
        <v>18</v>
      </c>
      <c r="Y25" s="16" t="s">
        <v>19</v>
      </c>
      <c r="Z25" s="17" t="s">
        <v>19</v>
      </c>
      <c r="AA25" s="15" t="s">
        <v>19</v>
      </c>
      <c r="AB25" s="16" t="s">
        <v>20</v>
      </c>
      <c r="AC25" s="17" t="s">
        <v>20</v>
      </c>
      <c r="AD25" s="15" t="s">
        <v>20</v>
      </c>
      <c r="AE25" s="15" t="s">
        <v>21</v>
      </c>
      <c r="AF25" s="15" t="s">
        <v>22</v>
      </c>
    </row>
    <row r="26" spans="1:32" s="9" customFormat="1" ht="12.75" hidden="1">
      <c r="A26" s="6"/>
      <c r="B26" s="10"/>
      <c r="H26" s="4"/>
      <c r="S26" s="1">
        <f>'ΑΠΟΔΟΧΕΣ (ΝΕΟΙ ΑΣΦΑΛΙΣΜΕΝΟΙ)'!A9</f>
        <v>18</v>
      </c>
      <c r="T26" s="11">
        <f>12*'ΑΠΟΔΟΧΕΣ (ΝΕΟΙ ΑΣΦΑΛΙΣΜΕΝΟΙ)'!P9+2*'ΑΠΟΔΟΧΕΣ (ΝΕΟΙ ΑΣΦΑΛΙΣΜΕΝΟΙ)'!P13</f>
        <v>13912.42</v>
      </c>
      <c r="U26" s="19">
        <f>T26</f>
        <v>13912.42</v>
      </c>
      <c r="V26" s="18">
        <f>'ΑΠΟΔΟΧΕΣ (ΝΕΟΙ ΑΣΦΑΛΙΣΜΕΝΟΙ)'!M2</f>
        <v>0</v>
      </c>
      <c r="W26" s="19">
        <f>IF(S26=""," ",IF(V26&gt;=3,20000+(V26-3)*1000,V26*1000+10000))</f>
        <v>10000</v>
      </c>
      <c r="X26" s="19">
        <f>IF(S26=""," ",IF(U26&lt;=W26,0,IF(W26&gt;13400,0,IF(U26&lt;=13400,(U26-W26)*0.15,(13400-W26)*0.15))))</f>
        <v>510</v>
      </c>
      <c r="Y26" s="19">
        <f>IF(S26=""," ",IF(W26&gt;=20000,0,IF(U26&lt;13400,0,IF(U26&lt;23400,(U26-13400)*0.3,3000))))</f>
        <v>153.72600000000003</v>
      </c>
      <c r="Z26" s="19">
        <f>IF(W26&lt;20000,0,IF(W26&gt;23400,0,IF(U26&lt;=W26,0,IF(U26&lt;=23400,(U26-W26)*0.3,(23400-W26)*0.3))))</f>
        <v>0</v>
      </c>
      <c r="AA26" s="19">
        <f>IF(S26=""," ",SUM(Y26:Z26))</f>
        <v>153.72600000000003</v>
      </c>
      <c r="AB26" s="19">
        <f>IF(S26=""," ",IF(W26&gt;=23400,0,IF(U26&lt;=23400,0,(U26-23400)*0.4)))</f>
        <v>0</v>
      </c>
      <c r="AC26" s="19">
        <f>IF(S26=""," ",IF(W26&lt;=23400,0,IF(U26&lt;=W26,0,(U26-W26)*0.4)))</f>
        <v>0</v>
      </c>
      <c r="AD26" s="19">
        <f>IF(S26=""," ",SUM(AB26:AC26))</f>
        <v>0</v>
      </c>
      <c r="AE26" s="19">
        <f>IF(S26=""," ",SUM(X26+AA26+AD26))</f>
        <v>663.726</v>
      </c>
      <c r="AF26" s="19">
        <f>IF(S26=""," ",ROUND(AE26*0.975/14,2))</f>
        <v>46.22</v>
      </c>
    </row>
    <row r="27" spans="1:8" s="9" customFormat="1" ht="12.75" hidden="1">
      <c r="A27" s="6"/>
      <c r="B27" s="10"/>
      <c r="H27" s="4"/>
    </row>
    <row r="28" spans="1:8" s="9" customFormat="1" ht="12.75" hidden="1">
      <c r="A28" s="6"/>
      <c r="B28" s="10"/>
      <c r="H28" s="4"/>
    </row>
    <row r="29" spans="1:28" s="9" customFormat="1" ht="12.75" hidden="1">
      <c r="A29" s="6"/>
      <c r="B29" s="10"/>
      <c r="H29" s="4"/>
      <c r="R29" s="57" t="s">
        <v>47</v>
      </c>
      <c r="S29" s="24" t="s">
        <v>4</v>
      </c>
      <c r="T29" s="30" t="s">
        <v>46</v>
      </c>
      <c r="U29" s="24" t="s">
        <v>31</v>
      </c>
      <c r="V29" s="31"/>
      <c r="W29" s="24" t="s">
        <v>24</v>
      </c>
      <c r="X29" s="24"/>
      <c r="Y29" s="24" t="s">
        <v>30</v>
      </c>
      <c r="Z29" s="24"/>
      <c r="AA29" s="24" t="s">
        <v>27</v>
      </c>
      <c r="AB29" s="24"/>
    </row>
    <row r="30" spans="1:28" s="9" customFormat="1" ht="12.75" hidden="1">
      <c r="A30" s="6"/>
      <c r="B30" s="10"/>
      <c r="H30" s="4"/>
      <c r="R30" s="33">
        <f aca="true" t="shared" si="0" ref="R30:R45">R31+ROUND($R$47*0.0424,0)</f>
        <v>1015</v>
      </c>
      <c r="S30" s="32">
        <v>1</v>
      </c>
      <c r="T30" s="33">
        <f aca="true" t="shared" si="1" ref="T30:T46">ROUND(R30*1.37,0)</f>
        <v>1391</v>
      </c>
      <c r="U30" s="34">
        <v>0</v>
      </c>
      <c r="V30" s="35">
        <v>0</v>
      </c>
      <c r="W30" s="36">
        <v>0</v>
      </c>
      <c r="X30" s="19">
        <v>0</v>
      </c>
      <c r="Y30" s="36" t="s">
        <v>25</v>
      </c>
      <c r="Z30" s="19">
        <v>75</v>
      </c>
      <c r="AA30" s="42" t="s">
        <v>38</v>
      </c>
      <c r="AB30" s="44">
        <v>410</v>
      </c>
    </row>
    <row r="31" spans="1:28" s="9" customFormat="1" ht="12.75" hidden="1">
      <c r="A31" s="6"/>
      <c r="B31" s="10"/>
      <c r="H31" s="4"/>
      <c r="R31" s="33">
        <f t="shared" si="0"/>
        <v>990</v>
      </c>
      <c r="S31" s="32">
        <v>2</v>
      </c>
      <c r="T31" s="33">
        <f t="shared" si="1"/>
        <v>1356</v>
      </c>
      <c r="U31" s="34">
        <v>1</v>
      </c>
      <c r="V31" s="35">
        <v>35</v>
      </c>
      <c r="W31" s="36">
        <v>1</v>
      </c>
      <c r="X31" s="19">
        <v>18</v>
      </c>
      <c r="Y31" s="36" t="s">
        <v>26</v>
      </c>
      <c r="Z31" s="19">
        <v>45</v>
      </c>
      <c r="AA31" s="42" t="s">
        <v>39</v>
      </c>
      <c r="AB31" s="44">
        <v>370</v>
      </c>
    </row>
    <row r="32" spans="1:28" s="9" customFormat="1" ht="12.75" hidden="1">
      <c r="A32" s="6"/>
      <c r="B32" s="10"/>
      <c r="H32" s="4"/>
      <c r="R32" s="33">
        <f t="shared" si="0"/>
        <v>965</v>
      </c>
      <c r="S32" s="32">
        <v>3</v>
      </c>
      <c r="T32" s="33">
        <f t="shared" si="1"/>
        <v>1322</v>
      </c>
      <c r="U32" s="37"/>
      <c r="V32" s="37"/>
      <c r="W32" s="36">
        <v>2</v>
      </c>
      <c r="X32" s="19">
        <v>36</v>
      </c>
      <c r="Y32" s="38"/>
      <c r="Z32" s="38"/>
      <c r="AA32" s="41" t="s">
        <v>29</v>
      </c>
      <c r="AB32" s="43">
        <f>176+115</f>
        <v>291</v>
      </c>
    </row>
    <row r="33" spans="18:28" s="9" customFormat="1" ht="12.75" hidden="1">
      <c r="R33" s="33">
        <f t="shared" si="0"/>
        <v>940</v>
      </c>
      <c r="S33" s="32">
        <v>4</v>
      </c>
      <c r="T33" s="33">
        <f t="shared" si="1"/>
        <v>1288</v>
      </c>
      <c r="U33" s="37"/>
      <c r="V33" s="37"/>
      <c r="W33" s="36">
        <v>3</v>
      </c>
      <c r="X33" s="19">
        <v>71</v>
      </c>
      <c r="Y33" s="38"/>
      <c r="Z33" s="38"/>
      <c r="AA33" s="41" t="s">
        <v>28</v>
      </c>
      <c r="AB33" s="43">
        <f>235+130</f>
        <v>365</v>
      </c>
    </row>
    <row r="34" spans="18:28" s="9" customFormat="1" ht="12.75" hidden="1">
      <c r="R34" s="33">
        <f t="shared" si="0"/>
        <v>915</v>
      </c>
      <c r="S34" s="32">
        <v>5</v>
      </c>
      <c r="T34" s="33">
        <f t="shared" si="1"/>
        <v>1254</v>
      </c>
      <c r="U34" s="37"/>
      <c r="V34" s="37"/>
      <c r="W34" s="36">
        <v>4</v>
      </c>
      <c r="X34" s="19">
        <v>118</v>
      </c>
      <c r="Y34" s="38"/>
      <c r="Z34" s="38"/>
      <c r="AA34" s="38"/>
      <c r="AB34" s="38"/>
    </row>
    <row r="35" spans="18:28" s="9" customFormat="1" ht="12.75" hidden="1">
      <c r="R35" s="33">
        <f t="shared" si="0"/>
        <v>890</v>
      </c>
      <c r="S35" s="32">
        <v>6</v>
      </c>
      <c r="T35" s="33">
        <f t="shared" si="1"/>
        <v>1219</v>
      </c>
      <c r="U35" s="37"/>
      <c r="V35" s="37"/>
      <c r="W35" s="36">
        <v>5</v>
      </c>
      <c r="X35" s="19">
        <f aca="true" t="shared" si="2" ref="X35:X41">X34+73</f>
        <v>191</v>
      </c>
      <c r="Y35" s="38"/>
      <c r="Z35" s="38"/>
      <c r="AA35" s="38"/>
      <c r="AB35" s="38"/>
    </row>
    <row r="36" spans="18:28" s="9" customFormat="1" ht="12.75" hidden="1">
      <c r="R36" s="33">
        <f t="shared" si="0"/>
        <v>865</v>
      </c>
      <c r="S36" s="32">
        <v>7</v>
      </c>
      <c r="T36" s="33">
        <f t="shared" si="1"/>
        <v>1185</v>
      </c>
      <c r="U36" s="37"/>
      <c r="V36" s="37"/>
      <c r="W36" s="36">
        <v>6</v>
      </c>
      <c r="X36" s="19">
        <f t="shared" si="2"/>
        <v>264</v>
      </c>
      <c r="Y36" s="38"/>
      <c r="Z36" s="38"/>
      <c r="AA36" s="38"/>
      <c r="AB36" s="38"/>
    </row>
    <row r="37" spans="18:28" s="9" customFormat="1" ht="12.75" hidden="1">
      <c r="R37" s="33">
        <f t="shared" si="0"/>
        <v>840</v>
      </c>
      <c r="S37" s="32">
        <v>8</v>
      </c>
      <c r="T37" s="33">
        <f t="shared" si="1"/>
        <v>1151</v>
      </c>
      <c r="U37" s="37"/>
      <c r="V37" s="37"/>
      <c r="W37" s="36">
        <v>7</v>
      </c>
      <c r="X37" s="19">
        <f t="shared" si="2"/>
        <v>337</v>
      </c>
      <c r="Y37" s="38"/>
      <c r="Z37" s="38"/>
      <c r="AA37" s="38"/>
      <c r="AB37" s="38"/>
    </row>
    <row r="38" spans="18:28" s="9" customFormat="1" ht="12.75" hidden="1">
      <c r="R38" s="33">
        <f t="shared" si="0"/>
        <v>815</v>
      </c>
      <c r="S38" s="32">
        <v>9</v>
      </c>
      <c r="T38" s="33">
        <f t="shared" si="1"/>
        <v>1117</v>
      </c>
      <c r="U38" s="37"/>
      <c r="V38" s="37"/>
      <c r="W38" s="36">
        <v>8</v>
      </c>
      <c r="X38" s="19">
        <f t="shared" si="2"/>
        <v>410</v>
      </c>
      <c r="Y38" s="38"/>
      <c r="Z38" s="38"/>
      <c r="AA38" s="38"/>
      <c r="AB38" s="38"/>
    </row>
    <row r="39" spans="18:28" s="9" customFormat="1" ht="12.75" hidden="1">
      <c r="R39" s="33">
        <f t="shared" si="0"/>
        <v>790</v>
      </c>
      <c r="S39" s="32">
        <v>10</v>
      </c>
      <c r="T39" s="33">
        <f t="shared" si="1"/>
        <v>1082</v>
      </c>
      <c r="U39" s="37"/>
      <c r="V39" s="37"/>
      <c r="W39" s="36">
        <v>9</v>
      </c>
      <c r="X39" s="19">
        <f t="shared" si="2"/>
        <v>483</v>
      </c>
      <c r="Y39" s="38"/>
      <c r="Z39" s="38"/>
      <c r="AA39" s="38"/>
      <c r="AB39" s="38"/>
    </row>
    <row r="40" spans="18:28" s="9" customFormat="1" ht="12.75" hidden="1">
      <c r="R40" s="33">
        <f t="shared" si="0"/>
        <v>765</v>
      </c>
      <c r="S40" s="32">
        <v>11</v>
      </c>
      <c r="T40" s="33">
        <f t="shared" si="1"/>
        <v>1048</v>
      </c>
      <c r="U40" s="37"/>
      <c r="V40" s="37"/>
      <c r="W40" s="36">
        <v>10</v>
      </c>
      <c r="X40" s="19">
        <f t="shared" si="2"/>
        <v>556</v>
      </c>
      <c r="Y40" s="38"/>
      <c r="Z40" s="38"/>
      <c r="AA40" s="38"/>
      <c r="AB40" s="38"/>
    </row>
    <row r="41" spans="18:28" s="9" customFormat="1" ht="12.75" hidden="1">
      <c r="R41" s="33">
        <f t="shared" si="0"/>
        <v>740</v>
      </c>
      <c r="S41" s="32">
        <v>12</v>
      </c>
      <c r="T41" s="33">
        <f t="shared" si="1"/>
        <v>1014</v>
      </c>
      <c r="U41" s="37"/>
      <c r="V41" s="37"/>
      <c r="W41" s="36">
        <v>11</v>
      </c>
      <c r="X41" s="19">
        <f t="shared" si="2"/>
        <v>629</v>
      </c>
      <c r="Y41" s="38"/>
      <c r="Z41" s="38"/>
      <c r="AA41" s="38"/>
      <c r="AB41" s="38"/>
    </row>
    <row r="42" spans="18:28" s="9" customFormat="1" ht="12.75" hidden="1">
      <c r="R42" s="33">
        <f t="shared" si="0"/>
        <v>715</v>
      </c>
      <c r="S42" s="32">
        <v>13</v>
      </c>
      <c r="T42" s="33">
        <f t="shared" si="1"/>
        <v>980</v>
      </c>
      <c r="U42" s="37"/>
      <c r="V42" s="37"/>
      <c r="W42" s="39"/>
      <c r="X42" s="39"/>
      <c r="Y42" s="39"/>
      <c r="Z42" s="39"/>
      <c r="AA42" s="39"/>
      <c r="AB42" s="39"/>
    </row>
    <row r="43" spans="18:28" s="9" customFormat="1" ht="12.75" hidden="1">
      <c r="R43" s="33">
        <f t="shared" si="0"/>
        <v>690</v>
      </c>
      <c r="S43" s="32">
        <v>14</v>
      </c>
      <c r="T43" s="33">
        <f t="shared" si="1"/>
        <v>945</v>
      </c>
      <c r="U43" s="37"/>
      <c r="V43" s="37"/>
      <c r="W43" s="39"/>
      <c r="X43" s="39"/>
      <c r="Y43" s="39"/>
      <c r="Z43" s="39"/>
      <c r="AA43" s="39"/>
      <c r="AB43" s="39"/>
    </row>
    <row r="44" spans="18:28" s="9" customFormat="1" ht="12.75" hidden="1">
      <c r="R44" s="33">
        <f t="shared" si="0"/>
        <v>665</v>
      </c>
      <c r="S44" s="32">
        <v>15</v>
      </c>
      <c r="T44" s="33">
        <f t="shared" si="1"/>
        <v>911</v>
      </c>
      <c r="U44" s="37"/>
      <c r="V44" s="37"/>
      <c r="W44" s="39"/>
      <c r="X44" s="39"/>
      <c r="Y44" s="39"/>
      <c r="Z44" s="39"/>
      <c r="AA44" s="39"/>
      <c r="AB44" s="39"/>
    </row>
    <row r="45" spans="18:28" s="9" customFormat="1" ht="12.75" hidden="1">
      <c r="R45" s="33">
        <f t="shared" si="0"/>
        <v>640</v>
      </c>
      <c r="S45" s="32">
        <v>16</v>
      </c>
      <c r="T45" s="33">
        <f t="shared" si="1"/>
        <v>877</v>
      </c>
      <c r="U45" s="37"/>
      <c r="V45" s="37"/>
      <c r="W45" s="39"/>
      <c r="X45" s="39"/>
      <c r="Y45" s="39"/>
      <c r="Z45" s="39"/>
      <c r="AA45" s="39"/>
      <c r="AB45" s="39"/>
    </row>
    <row r="46" spans="18:28" s="9" customFormat="1" ht="12.75" hidden="1">
      <c r="R46" s="33">
        <f>R47+ROUND($R$47*0.0424,0)</f>
        <v>615</v>
      </c>
      <c r="S46" s="32">
        <v>17</v>
      </c>
      <c r="T46" s="33">
        <f t="shared" si="1"/>
        <v>843</v>
      </c>
      <c r="U46" s="37"/>
      <c r="V46" s="37"/>
      <c r="W46" s="39"/>
      <c r="X46" s="39"/>
      <c r="Y46" s="39"/>
      <c r="Z46" s="39"/>
      <c r="AA46" s="39"/>
      <c r="AB46" s="39"/>
    </row>
    <row r="47" spans="18:28" s="9" customFormat="1" ht="12.75" hidden="1">
      <c r="R47" s="58">
        <v>590</v>
      </c>
      <c r="S47" s="32">
        <v>18</v>
      </c>
      <c r="T47" s="33">
        <f>ROUND(R47*1.37,0)</f>
        <v>808</v>
      </c>
      <c r="U47" s="37"/>
      <c r="V47" s="37"/>
      <c r="W47" s="39"/>
      <c r="X47" s="39"/>
      <c r="Y47" s="39"/>
      <c r="Z47" s="39"/>
      <c r="AA47" s="39"/>
      <c r="AB47" s="39"/>
    </row>
    <row r="48" s="9" customFormat="1" ht="12.75" hidden="1"/>
    <row r="49" s="9" customFormat="1" ht="12.75" hidden="1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 selectLockedCells="1"/>
  <mergeCells count="13">
    <mergeCell ref="J2:L2"/>
    <mergeCell ref="A1:D1"/>
    <mergeCell ref="E1:H1"/>
    <mergeCell ref="A7:R7"/>
    <mergeCell ref="A11:R11"/>
    <mergeCell ref="A2:B2"/>
    <mergeCell ref="A3:B3"/>
    <mergeCell ref="A4:B4"/>
    <mergeCell ref="A5:B5"/>
    <mergeCell ref="E3:F3"/>
    <mergeCell ref="E2:F2"/>
    <mergeCell ref="E4:F4"/>
    <mergeCell ref="E5:F5"/>
  </mergeCells>
  <hyperlinks>
    <hyperlink ref="E1:H1" r:id="rId1" display="http://dide.fgh.sch.gr"/>
    <hyperlink ref="E1" r:id="rId2" display="http://dide.fth.sch.gr"/>
  </hyperlink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110" r:id="rId6"/>
  <headerFooter alignWithMargins="0">
    <oddHeader>&amp;CΔ/ΝΣΗ Β/ΘΜΙΑΣ ΕΚΠ/ΣΗΣ ΦΘΙΩΤΙΔΑΣ</oddHeader>
    <oddFooter>&amp;L&amp;A&amp;C&amp;D&amp;RΔ.Δ.Ε. ΦΘΙΩΤΙΔΑΣ
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ΜΙΣΘΟΣ 2004</dc:title>
  <dc:subject/>
  <dc:creator>Σακελλάρης Αλ.</dc:creator>
  <cp:keywords/>
  <dc:description/>
  <cp:lastModifiedBy>1grkal</cp:lastModifiedBy>
  <cp:lastPrinted>2003-12-31T08:17:10Z</cp:lastPrinted>
  <dcterms:created xsi:type="dcterms:W3CDTF">2003-10-18T16:37:00Z</dcterms:created>
  <dcterms:modified xsi:type="dcterms:W3CDTF">2004-11-04T11:00:27Z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